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3.27.06" sheetId="1" r:id="rId1"/>
    <sheet name="TOM J" sheetId="2" r:id="rId2"/>
  </sheets>
  <definedNames>
    <definedName name="_xlnm.Print_Area" localSheetId="0">'3.27.06'!$A$1:$K$64</definedName>
    <definedName name="Print_Area_MI" localSheetId="0">'3.27.06'!$A$1:$J$57</definedName>
  </definedNames>
  <calcPr fullCalcOnLoad="1"/>
</workbook>
</file>

<file path=xl/sharedStrings.xml><?xml version="1.0" encoding="utf-8"?>
<sst xmlns="http://schemas.openxmlformats.org/spreadsheetml/2006/main" count="217" uniqueCount="66">
  <si>
    <t>TOTAL</t>
  </si>
  <si>
    <t xml:space="preserve"> </t>
  </si>
  <si>
    <t>SOURCES OF FUNDS:</t>
  </si>
  <si>
    <t>FUND BALANCE</t>
  </si>
  <si>
    <t>BOND PROCEEDS</t>
  </si>
  <si>
    <t>SALES TAX RECEIPTS (+4% YR.)</t>
  </si>
  <si>
    <t>GOLF/CLUB HOUSE</t>
  </si>
  <si>
    <t>TOTAL SOURCES</t>
  </si>
  <si>
    <t>USES OF FUNDS:</t>
  </si>
  <si>
    <t>TOTAL USES:</t>
  </si>
  <si>
    <t>BALANCE AVAILABLE (SOURCES LESS USES)</t>
  </si>
  <si>
    <t>BOND RESERVES, NEW ISSUE</t>
  </si>
  <si>
    <t>BOND RESERVES, PRIOR ISSUE</t>
  </si>
  <si>
    <t>INFRASTRUCTURE/SEWER</t>
  </si>
  <si>
    <t xml:space="preserve">VIC DEBT SERVICE </t>
  </si>
  <si>
    <t xml:space="preserve">DEBT SERVICE PAYMENT, EXISTING </t>
  </si>
  <si>
    <t>DEBT SERVICE PAYMENT, NEW ISSUE</t>
  </si>
  <si>
    <t>INTEREST EARNED @3%</t>
  </si>
  <si>
    <t>DCA CHARGES (+4% YR)</t>
  </si>
  <si>
    <t>HOSPICE HOUSE</t>
  </si>
  <si>
    <t>ARTIFICAL TURF SDSM&amp;T</t>
  </si>
  <si>
    <t>SKYLINE DRIVE PRESERVATION</t>
  </si>
  <si>
    <t>ARTS FACILITY</t>
  </si>
  <si>
    <t>HOMELESS COALITION FACILITY</t>
  </si>
  <si>
    <t>STEVENS GYM MULIT PURPOSE ROOM</t>
  </si>
  <si>
    <t>PACTOLA WATER PURCHASE - BEARU OR REC</t>
  </si>
  <si>
    <t>SCHOOL ZONE SAFETY FLASHERS</t>
  </si>
  <si>
    <t>TRAFFIC SIGNALS - NEW AND UPGRAGES LED</t>
  </si>
  <si>
    <t>ECONOMIC DEVELOPMENT FUTURES FUND</t>
  </si>
  <si>
    <t>DOWNTOWN PARKING RAMPS</t>
  </si>
  <si>
    <t>SOCCER RAPID CITY - 25 FIELD COMPLES</t>
  </si>
  <si>
    <t>CIVIC CENTER EXPANSION 4500 SEAT ARENA</t>
  </si>
  <si>
    <t>ATTA POW WOW FACILITY</t>
  </si>
  <si>
    <t>STREET RECONSTRUCTION AND REPAID</t>
  </si>
  <si>
    <t>PARKS AND REC PROJESTS</t>
  </si>
  <si>
    <t>ECONOMIC DEVELOPMENT INCUBATOR</t>
  </si>
  <si>
    <t>BONDING COSTS (includes insuring bonds)</t>
  </si>
  <si>
    <t>BURN TRAINING FACILITY</t>
  </si>
  <si>
    <t>12/31/2005</t>
  </si>
  <si>
    <t>FILE NAME: 2012eoy2005</t>
  </si>
  <si>
    <t>REOFFERING PREMIUM</t>
  </si>
  <si>
    <t xml:space="preserve">AUDIT SALES TAX </t>
  </si>
  <si>
    <t>DAHL DESIGN, CITY SHARE</t>
  </si>
  <si>
    <t xml:space="preserve">REBATE EXCESS INTEREST FROM PRIOR ISSUE </t>
  </si>
  <si>
    <t>Proof:</t>
  </si>
  <si>
    <t xml:space="preserve">  City</t>
  </si>
  <si>
    <t xml:space="preserve">  Trustee 2005B</t>
  </si>
  <si>
    <t xml:space="preserve">  Trustee 2000 &amp; 2001A</t>
  </si>
  <si>
    <t xml:space="preserve">   Reserve 2005B</t>
  </si>
  <si>
    <t xml:space="preserve">  Reserve 2000 &amp; 2001A</t>
  </si>
  <si>
    <t>Balance Available</t>
  </si>
  <si>
    <t xml:space="preserve">          End of Year 2005</t>
  </si>
  <si>
    <t xml:space="preserve">Difference </t>
  </si>
  <si>
    <t>from 11/14/05</t>
  </si>
  <si>
    <t xml:space="preserve">          CITY OF RAPID CITY, SOUTH DAKOTA CASH FLOW ANALYSIS      2/28/2006</t>
  </si>
  <si>
    <t>POLICE EVIDENCE - TRAFFIC- TRANSIT BLDG*</t>
  </si>
  <si>
    <t>CANYON LAKE RESORATION- BYPASS SYSTEM*</t>
  </si>
  <si>
    <t>*amended 2/28/2006.  Original funding was in 2007.</t>
  </si>
  <si>
    <t>SALES TAX RECEIPTS (+4.5% YR.)</t>
  </si>
  <si>
    <t>FILE NAME: 2012 cy 2006</t>
  </si>
  <si>
    <t xml:space="preserve">          CITY OF RAPID CITY, SOUTH DAKOTA CASH FLOW ANALYSIS      5/19/06</t>
  </si>
  <si>
    <t>CANYON LAKE RESORATION- BYPASS SYSTEM 1/</t>
  </si>
  <si>
    <t>STREET RECONSTRUCTION 2/</t>
  </si>
  <si>
    <t>1/amended 2/28/2006.  Original funding was in 2007.</t>
  </si>
  <si>
    <t xml:space="preserve">2/amendment recommended by CIP 5/19/06 re staging of </t>
  </si>
  <si>
    <t xml:space="preserve">     downtown renovation 2nd phase to 2008/was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</si>
</sst>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 applyProtection="1" quotePrefix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37" fontId="5" fillId="0" borderId="0" xfId="20" applyNumberFormat="1" applyFont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165" fontId="4" fillId="0" borderId="0" xfId="15" applyNumberFormat="1" applyFont="1" applyAlignment="1">
      <alignment/>
    </xf>
    <xf numFmtId="37" fontId="4" fillId="0" borderId="3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37" fontId="4" fillId="0" borderId="0" xfId="20" applyNumberFormat="1" applyFont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165" fontId="4" fillId="0" borderId="0" xfId="15" applyNumberFormat="1" applyFont="1" applyAlignment="1">
      <alignment/>
    </xf>
    <xf numFmtId="37" fontId="3" fillId="0" borderId="0" xfId="0" applyNumberFormat="1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+b7+@sum(j9..j12)" TargetMode="External" /><Relationship Id="rId2" Type="http://schemas.openxmlformats.org/officeDocument/2006/relationships/hyperlink" Target="mailto:+c7-@sum(c51/2)*.03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+b7+@sum(j9..j12)" TargetMode="External" /><Relationship Id="rId2" Type="http://schemas.openxmlformats.org/officeDocument/2006/relationships/hyperlink" Target="mailto:+c7-@sum(c51/2)*.03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O98"/>
  <sheetViews>
    <sheetView tabSelected="1" defaultGridColor="0" zoomScale="70" zoomScaleNormal="70" colorId="22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3" sqref="A33"/>
    </sheetView>
  </sheetViews>
  <sheetFormatPr defaultColWidth="15.6640625" defaultRowHeight="15"/>
  <cols>
    <col min="1" max="1" width="40.6640625" style="0" customWidth="1"/>
    <col min="2" max="2" width="8.77734375" style="0" bestFit="1" customWidth="1"/>
    <col min="3" max="3" width="10.6640625" style="0" bestFit="1" customWidth="1"/>
    <col min="4" max="4" width="9.77734375" style="0" bestFit="1" customWidth="1"/>
    <col min="5" max="5" width="9.21484375" style="0" bestFit="1" customWidth="1"/>
    <col min="6" max="6" width="8.77734375" style="0" bestFit="1" customWidth="1"/>
    <col min="7" max="7" width="8.4453125" style="0" bestFit="1" customWidth="1"/>
    <col min="8" max="8" width="8.3359375" style="0" bestFit="1" customWidth="1"/>
    <col min="9" max="9" width="8.6640625" style="0" bestFit="1" customWidth="1"/>
    <col min="10" max="10" width="9.21484375" style="0" bestFit="1" customWidth="1"/>
    <col min="11" max="11" width="8.6640625" style="0" customWidth="1"/>
    <col min="12" max="13" width="15.77734375" style="0" customWidth="1"/>
  </cols>
  <sheetData>
    <row r="1" spans="1:41" ht="15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">
      <c r="A2" s="2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">
      <c r="A3" s="2" t="s">
        <v>1</v>
      </c>
      <c r="B3" s="2"/>
      <c r="C3" s="2"/>
      <c r="D3" s="2"/>
      <c r="E3" s="2"/>
      <c r="F3" s="2"/>
      <c r="G3" s="2"/>
      <c r="H3" s="2"/>
      <c r="I3" s="3" t="s">
        <v>1</v>
      </c>
      <c r="J3" s="3" t="s">
        <v>0</v>
      </c>
      <c r="K3" s="2" t="s">
        <v>52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5">
      <c r="A4" s="2" t="s">
        <v>1</v>
      </c>
      <c r="B4" s="3">
        <v>2005</v>
      </c>
      <c r="C4" s="3">
        <v>2006</v>
      </c>
      <c r="D4" s="3">
        <v>2007</v>
      </c>
      <c r="E4" s="3">
        <v>2008</v>
      </c>
      <c r="F4" s="3">
        <v>2009</v>
      </c>
      <c r="G4" s="3">
        <v>2010</v>
      </c>
      <c r="H4" s="3">
        <v>2011</v>
      </c>
      <c r="I4" s="3">
        <v>2012</v>
      </c>
      <c r="J4" s="3"/>
      <c r="K4" s="2" t="s">
        <v>53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5">
      <c r="A5" s="2" t="s">
        <v>2</v>
      </c>
      <c r="B5" s="4" t="s">
        <v>38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5">
      <c r="A6" s="2"/>
      <c r="B6" s="5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5">
      <c r="A7" s="2" t="s">
        <v>3</v>
      </c>
      <c r="B7" s="5">
        <f>4134899.59+2490592.67+500000</f>
        <v>7125492.26</v>
      </c>
      <c r="C7" s="5">
        <f aca="true" t="shared" si="0" ref="C7:J7">B53</f>
        <v>34562815.5</v>
      </c>
      <c r="D7" s="5">
        <f t="shared" si="0"/>
        <v>26944799.51625</v>
      </c>
      <c r="E7" s="5">
        <f t="shared" si="0"/>
        <v>9328548.336737495</v>
      </c>
      <c r="F7" s="5">
        <f t="shared" si="0"/>
        <v>1366770.8366146162</v>
      </c>
      <c r="G7" s="5">
        <f t="shared" si="0"/>
        <v>648692.9996159263</v>
      </c>
      <c r="H7" s="5">
        <f t="shared" si="0"/>
        <v>78737.27453642525</v>
      </c>
      <c r="I7" s="5">
        <f t="shared" si="0"/>
        <v>4039812.577101819</v>
      </c>
      <c r="J7" s="5">
        <f t="shared" si="0"/>
        <v>11454598.026117347</v>
      </c>
      <c r="K7" s="5">
        <f>+J7-11341622</f>
        <v>112976.02611734718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5">
      <c r="A9" s="2" t="s">
        <v>4</v>
      </c>
      <c r="B9" s="5">
        <v>29190000</v>
      </c>
      <c r="C9" s="5" t="s">
        <v>1</v>
      </c>
      <c r="D9" s="5"/>
      <c r="E9" s="5"/>
      <c r="F9" s="5"/>
      <c r="G9" s="5"/>
      <c r="H9" s="5"/>
      <c r="I9" s="5"/>
      <c r="J9" s="5">
        <f aca="true" t="shared" si="1" ref="J9:J16">SUM(B9:I9)</f>
        <v>29190000</v>
      </c>
      <c r="K9" s="5">
        <f>+J9-30415000</f>
        <v>-1225000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2"/>
      <c r="AL9" s="2"/>
      <c r="AM9" s="2"/>
      <c r="AN9" s="2"/>
      <c r="AO9" s="2"/>
    </row>
    <row r="10" spans="1:41" ht="15">
      <c r="A10" s="2" t="s">
        <v>40</v>
      </c>
      <c r="B10" s="5">
        <v>1176469</v>
      </c>
      <c r="C10" s="5"/>
      <c r="D10" s="5"/>
      <c r="E10" s="5"/>
      <c r="F10" s="5"/>
      <c r="G10" s="5"/>
      <c r="H10" s="5"/>
      <c r="I10" s="5"/>
      <c r="J10" s="5">
        <f t="shared" si="1"/>
        <v>1176469</v>
      </c>
      <c r="K10" s="5">
        <f>+J10</f>
        <v>1176469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2"/>
      <c r="AL10" s="2"/>
      <c r="AM10" s="2"/>
      <c r="AN10" s="2"/>
      <c r="AO10" s="2"/>
    </row>
    <row r="11" spans="1:41" ht="15">
      <c r="A11" s="2" t="s">
        <v>58</v>
      </c>
      <c r="B11" s="5">
        <v>8730494</v>
      </c>
      <c r="C11" s="5">
        <v>8507495</v>
      </c>
      <c r="D11" s="5">
        <f>(+C11*1.045)</f>
        <v>8890332.274999999</v>
      </c>
      <c r="E11" s="5">
        <f>(+D11*1.045)</f>
        <v>9290397.227374997</v>
      </c>
      <c r="F11" s="5">
        <f>(+E11*1.045)</f>
        <v>9708465.102606872</v>
      </c>
      <c r="G11" s="5">
        <f>(+F11*1.045)</f>
        <v>10145346.03222418</v>
      </c>
      <c r="H11" s="5">
        <f>(+G11*1.04)</f>
        <v>10551159.873513147</v>
      </c>
      <c r="I11" s="5">
        <f>(+H11*1.04)</f>
        <v>10973206.268453674</v>
      </c>
      <c r="J11" s="5">
        <f t="shared" si="1"/>
        <v>76796895.77917287</v>
      </c>
      <c r="K11" s="5">
        <v>238898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5">
      <c r="A12" s="2" t="s">
        <v>41</v>
      </c>
      <c r="B12" s="5">
        <v>127035</v>
      </c>
      <c r="C12" s="5"/>
      <c r="D12" s="5"/>
      <c r="E12" s="5"/>
      <c r="F12" s="5"/>
      <c r="G12" s="5"/>
      <c r="H12" s="5"/>
      <c r="I12" s="5"/>
      <c r="J12" s="5">
        <f t="shared" si="1"/>
        <v>127035</v>
      </c>
      <c r="K12" s="5">
        <v>38629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5">
      <c r="A13" s="2" t="s">
        <v>17</v>
      </c>
      <c r="B13" s="5">
        <f>191075+48332+174128-12198.54-199635</f>
        <v>201701.46000000002</v>
      </c>
      <c r="C13" s="14">
        <f>(C7-SUM(C51/2))*0.03</f>
        <v>782811.26625</v>
      </c>
      <c r="D13" s="5">
        <f aca="true" t="shared" si="2" ref="D13:I13">D7*0.03</f>
        <v>808343.9854875</v>
      </c>
      <c r="E13" s="5">
        <f t="shared" si="2"/>
        <v>279856.4501021248</v>
      </c>
      <c r="F13" s="5">
        <f t="shared" si="2"/>
        <v>41003.12509843848</v>
      </c>
      <c r="G13" s="5">
        <f t="shared" si="2"/>
        <v>19460.789988477787</v>
      </c>
      <c r="H13" s="5">
        <f t="shared" si="2"/>
        <v>2362.1182360927573</v>
      </c>
      <c r="I13" s="5">
        <f t="shared" si="2"/>
        <v>121194.37731305457</v>
      </c>
      <c r="J13" s="5">
        <f t="shared" si="1"/>
        <v>2256733.5724756885</v>
      </c>
      <c r="K13" s="5" t="s">
        <v>1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5">
      <c r="A14" s="2" t="s">
        <v>6</v>
      </c>
      <c r="B14" s="5">
        <f>17692+12199</f>
        <v>29891</v>
      </c>
      <c r="C14" s="5">
        <f>18754+11137</f>
        <v>29891</v>
      </c>
      <c r="D14" s="5">
        <f>19879+10012</f>
        <v>29891</v>
      </c>
      <c r="E14" s="5">
        <f>21072+8819</f>
        <v>29891</v>
      </c>
      <c r="F14" s="5">
        <f>22336+7555</f>
        <v>29891</v>
      </c>
      <c r="G14" s="5">
        <f>23676+6215</f>
        <v>29891</v>
      </c>
      <c r="H14" s="5">
        <f>25097+4794</f>
        <v>29891</v>
      </c>
      <c r="I14" s="5">
        <f>26603+3288</f>
        <v>29891</v>
      </c>
      <c r="J14" s="5">
        <f t="shared" si="1"/>
        <v>239128</v>
      </c>
      <c r="K14" s="5" t="s">
        <v>1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5">
      <c r="A15" s="2" t="s">
        <v>11</v>
      </c>
      <c r="B15" s="5">
        <f>-B9*0.1</f>
        <v>-2919000</v>
      </c>
      <c r="C15" s="5">
        <f>-C9*0.1</f>
        <v>0</v>
      </c>
      <c r="D15" s="5"/>
      <c r="E15" s="5"/>
      <c r="F15" s="5"/>
      <c r="G15" s="2"/>
      <c r="H15" s="5"/>
      <c r="I15" s="5">
        <v>2919000</v>
      </c>
      <c r="J15" s="5">
        <f t="shared" si="1"/>
        <v>0</v>
      </c>
      <c r="K15" s="5">
        <f>3041500-2919000</f>
        <v>122500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5.75" thickBot="1">
      <c r="A16" s="2" t="s">
        <v>12</v>
      </c>
      <c r="B16" s="6">
        <v>-2400500</v>
      </c>
      <c r="C16" s="6" t="s">
        <v>1</v>
      </c>
      <c r="D16" s="6">
        <v>2400500</v>
      </c>
      <c r="E16" s="6"/>
      <c r="F16" s="6"/>
      <c r="G16" s="6" t="s">
        <v>1</v>
      </c>
      <c r="H16" s="6"/>
      <c r="I16" s="6"/>
      <c r="J16" s="10">
        <f t="shared" si="1"/>
        <v>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2"/>
      <c r="AL16" s="2"/>
      <c r="AM16" s="2"/>
      <c r="AN16" s="2"/>
      <c r="AO16" s="2"/>
    </row>
    <row r="17" spans="1:41" ht="15">
      <c r="A17" s="2" t="s">
        <v>1</v>
      </c>
      <c r="B17" s="5" t="s">
        <v>1</v>
      </c>
      <c r="C17" s="5" t="s">
        <v>1</v>
      </c>
      <c r="D17" s="5" t="s">
        <v>1</v>
      </c>
      <c r="E17" s="5"/>
      <c r="F17" s="5"/>
      <c r="G17" s="5"/>
      <c r="H17" s="5"/>
      <c r="I17" s="5"/>
      <c r="J17" s="5" t="s">
        <v>1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5">
      <c r="A18" s="2" t="s">
        <v>7</v>
      </c>
      <c r="B18" s="5">
        <f>SUM(B7:B16)</f>
        <v>41261582.72</v>
      </c>
      <c r="C18" s="5">
        <f aca="true" t="shared" si="3" ref="C18:I18">SUM(C7:C16)</f>
        <v>43883012.76625</v>
      </c>
      <c r="D18" s="5">
        <f t="shared" si="3"/>
        <v>39073866.776737496</v>
      </c>
      <c r="E18" s="5">
        <f t="shared" si="3"/>
        <v>18928693.014214616</v>
      </c>
      <c r="F18" s="5">
        <f t="shared" si="3"/>
        <v>11146130.064319927</v>
      </c>
      <c r="G18" s="5">
        <f t="shared" si="3"/>
        <v>10843390.821828585</v>
      </c>
      <c r="H18" s="5">
        <f t="shared" si="3"/>
        <v>10662150.266285665</v>
      </c>
      <c r="I18" s="5">
        <f t="shared" si="3"/>
        <v>18083104.222868547</v>
      </c>
      <c r="J18" s="5">
        <f>SUM(J9:J16)</f>
        <v>109786261.35164855</v>
      </c>
      <c r="K18" s="5">
        <f>SUM(K7:K16)</f>
        <v>464472.0261173472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5">
      <c r="A19" s="2"/>
      <c r="B19" s="5"/>
      <c r="C19" s="5"/>
      <c r="D19" s="5"/>
      <c r="E19" s="5"/>
      <c r="F19" s="5"/>
      <c r="G19" s="5"/>
      <c r="H19" s="5"/>
      <c r="I19" s="5"/>
      <c r="J19" s="7" t="s">
        <v>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5">
      <c r="A20" s="2" t="s">
        <v>8</v>
      </c>
      <c r="B20" s="5" t="s">
        <v>1</v>
      </c>
      <c r="C20" s="5"/>
      <c r="D20" s="5"/>
      <c r="E20" s="5"/>
      <c r="F20" s="5"/>
      <c r="G20" s="5"/>
      <c r="H20" s="5"/>
      <c r="I20" s="5"/>
      <c r="J20" s="5" t="s">
        <v>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5">
      <c r="A21" s="2" t="s">
        <v>1</v>
      </c>
      <c r="B21" s="5"/>
      <c r="C21" s="5"/>
      <c r="D21" s="5"/>
      <c r="E21" s="5"/>
      <c r="F21" s="5"/>
      <c r="G21" s="5"/>
      <c r="H21" s="5"/>
      <c r="I21" s="5"/>
      <c r="J21" s="5" t="s">
        <v>1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5">
      <c r="A22" s="2" t="s">
        <v>42</v>
      </c>
      <c r="B22" s="5">
        <f>137866-68933</f>
        <v>68933</v>
      </c>
      <c r="C22" s="5"/>
      <c r="D22" s="5"/>
      <c r="E22" s="5"/>
      <c r="F22" s="5"/>
      <c r="G22" s="5"/>
      <c r="H22" s="5"/>
      <c r="I22" s="5"/>
      <c r="J22" s="5">
        <f>SUM(B22:I22)</f>
        <v>68933</v>
      </c>
      <c r="K22" s="12">
        <v>-73121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">
      <c r="A23" s="2" t="s">
        <v>13</v>
      </c>
      <c r="B23" s="5">
        <v>532222.96</v>
      </c>
      <c r="C23" s="5" t="s">
        <v>1</v>
      </c>
      <c r="D23" s="5" t="s">
        <v>1</v>
      </c>
      <c r="E23" s="5" t="s">
        <v>1</v>
      </c>
      <c r="F23" s="5" t="s">
        <v>1</v>
      </c>
      <c r="G23" s="5" t="s">
        <v>1</v>
      </c>
      <c r="H23" s="5" t="s">
        <v>1</v>
      </c>
      <c r="I23" s="5" t="s">
        <v>1</v>
      </c>
      <c r="J23" s="5">
        <f>SUM(B23:I23)</f>
        <v>532222.96</v>
      </c>
      <c r="K23" s="12">
        <v>390169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5">
      <c r="A24" s="2" t="s">
        <v>35</v>
      </c>
      <c r="B24" s="5">
        <v>500000</v>
      </c>
      <c r="C24" s="5"/>
      <c r="D24" s="5"/>
      <c r="E24" s="5"/>
      <c r="F24" s="5"/>
      <c r="G24" s="5"/>
      <c r="H24" s="5"/>
      <c r="I24" s="5"/>
      <c r="J24" s="5">
        <f>SUM(B24:I24)</f>
        <v>500000</v>
      </c>
      <c r="K24" s="13" t="s">
        <v>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5">
      <c r="A25" s="2" t="s">
        <v>43</v>
      </c>
      <c r="B25" s="5"/>
      <c r="C25" s="5">
        <v>376432</v>
      </c>
      <c r="D25" s="5"/>
      <c r="E25" s="5"/>
      <c r="F25" s="5"/>
      <c r="G25" s="5"/>
      <c r="H25" s="5"/>
      <c r="I25" s="5"/>
      <c r="J25" s="5">
        <f>SUM(B25:I25)</f>
        <v>376432</v>
      </c>
      <c r="K25" s="12">
        <v>376432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5">
      <c r="A26" s="2" t="s">
        <v>19</v>
      </c>
      <c r="B26" s="5"/>
      <c r="C26" s="5">
        <v>100000</v>
      </c>
      <c r="E26" s="5"/>
      <c r="F26" s="5"/>
      <c r="G26" s="5"/>
      <c r="H26" s="5"/>
      <c r="I26" s="5"/>
      <c r="J26" s="5">
        <f aca="true" t="shared" si="4" ref="J26:J44">SUM(B26:I26)</f>
        <v>100000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5">
      <c r="A27" s="2" t="s">
        <v>20</v>
      </c>
      <c r="B27" s="5"/>
      <c r="C27" s="5">
        <v>280000</v>
      </c>
      <c r="D27" s="5"/>
      <c r="E27" s="5"/>
      <c r="F27" s="5"/>
      <c r="G27" s="5"/>
      <c r="H27" s="5"/>
      <c r="I27" s="5"/>
      <c r="J27" s="5">
        <f t="shared" si="4"/>
        <v>280000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5">
      <c r="A28" s="2" t="s">
        <v>21</v>
      </c>
      <c r="B28" s="5"/>
      <c r="C28" s="5">
        <v>737000</v>
      </c>
      <c r="D28" s="5"/>
      <c r="E28" s="5"/>
      <c r="F28" s="5"/>
      <c r="G28" s="5"/>
      <c r="H28" s="5"/>
      <c r="I28" s="5"/>
      <c r="J28" s="5">
        <f t="shared" si="4"/>
        <v>737000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5">
      <c r="A29" s="2" t="s">
        <v>22</v>
      </c>
      <c r="B29" s="5"/>
      <c r="C29" s="9">
        <v>500000</v>
      </c>
      <c r="D29" s="5">
        <v>2700000</v>
      </c>
      <c r="E29" s="5">
        <v>300000</v>
      </c>
      <c r="F29" s="5">
        <v>3000000</v>
      </c>
      <c r="G29" s="5"/>
      <c r="H29" s="5"/>
      <c r="I29" s="5"/>
      <c r="J29" s="5">
        <f t="shared" si="4"/>
        <v>6500000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5">
      <c r="A30" s="2" t="s">
        <v>23</v>
      </c>
      <c r="B30" s="5"/>
      <c r="C30" s="5"/>
      <c r="D30" s="5"/>
      <c r="E30" s="5">
        <v>250000</v>
      </c>
      <c r="F30" s="5"/>
      <c r="G30" s="5"/>
      <c r="H30" s="5"/>
      <c r="I30" s="5"/>
      <c r="J30" s="5">
        <f t="shared" si="4"/>
        <v>250000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5">
      <c r="A31" s="2" t="s">
        <v>24</v>
      </c>
      <c r="B31" s="5"/>
      <c r="C31" s="5"/>
      <c r="D31" s="5">
        <v>350000</v>
      </c>
      <c r="E31" s="5"/>
      <c r="F31" s="5"/>
      <c r="G31" s="5"/>
      <c r="H31" s="5"/>
      <c r="I31" s="5"/>
      <c r="J31" s="5">
        <f t="shared" si="4"/>
        <v>350000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5">
      <c r="A32" s="2" t="s">
        <v>55</v>
      </c>
      <c r="B32" s="5"/>
      <c r="C32" s="5">
        <v>25000</v>
      </c>
      <c r="D32" s="9">
        <v>1475000</v>
      </c>
      <c r="E32" s="5"/>
      <c r="F32" s="5"/>
      <c r="G32" s="5"/>
      <c r="H32" s="5"/>
      <c r="I32" s="5"/>
      <c r="J32" s="5">
        <f t="shared" si="4"/>
        <v>1500000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5">
      <c r="A33" s="2" t="s">
        <v>61</v>
      </c>
      <c r="B33" s="5"/>
      <c r="C33" s="5">
        <v>9750</v>
      </c>
      <c r="D33" s="5">
        <f>400000-9750</f>
        <v>390250</v>
      </c>
      <c r="E33" s="5"/>
      <c r="F33" s="5"/>
      <c r="G33" s="5"/>
      <c r="H33" s="5"/>
      <c r="I33" s="5"/>
      <c r="J33" s="5">
        <f t="shared" si="4"/>
        <v>400000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5">
      <c r="A34" s="2" t="s">
        <v>25</v>
      </c>
      <c r="B34" s="5"/>
      <c r="C34" s="5">
        <v>1000000</v>
      </c>
      <c r="E34" s="5"/>
      <c r="F34" s="5"/>
      <c r="G34" s="5"/>
      <c r="H34" s="5"/>
      <c r="I34" s="5"/>
      <c r="J34" s="5">
        <f t="shared" si="4"/>
        <v>1000000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5">
      <c r="A35" s="2" t="s">
        <v>26</v>
      </c>
      <c r="B35" s="5"/>
      <c r="C35" s="5">
        <v>280000</v>
      </c>
      <c r="D35" s="5"/>
      <c r="E35" s="5"/>
      <c r="F35" s="5"/>
      <c r="G35" s="5"/>
      <c r="H35" s="5"/>
      <c r="I35" s="5"/>
      <c r="J35" s="5">
        <f t="shared" si="4"/>
        <v>280000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5">
      <c r="A36" s="2" t="s">
        <v>27</v>
      </c>
      <c r="B36" s="5"/>
      <c r="C36" s="5">
        <v>700000</v>
      </c>
      <c r="D36" s="5"/>
      <c r="E36" s="5"/>
      <c r="F36" s="5"/>
      <c r="G36" s="5"/>
      <c r="H36" s="5"/>
      <c r="I36" s="5"/>
      <c r="J36" s="5">
        <f t="shared" si="4"/>
        <v>700000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5">
      <c r="A37" s="2" t="s">
        <v>28</v>
      </c>
      <c r="B37" s="5"/>
      <c r="C37" s="5">
        <v>1000000</v>
      </c>
      <c r="D37" s="5">
        <v>500000</v>
      </c>
      <c r="E37" s="5">
        <v>500000</v>
      </c>
      <c r="F37" s="5">
        <v>500000</v>
      </c>
      <c r="G37" s="5">
        <v>1200000</v>
      </c>
      <c r="H37" s="5"/>
      <c r="I37" s="5"/>
      <c r="J37" s="5">
        <f t="shared" si="4"/>
        <v>3700000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5">
      <c r="A38" s="2" t="s">
        <v>29</v>
      </c>
      <c r="B38" s="5"/>
      <c r="D38" s="5">
        <v>600000</v>
      </c>
      <c r="E38" s="5">
        <v>2200000</v>
      </c>
      <c r="F38" s="5"/>
      <c r="G38" s="5"/>
      <c r="H38" s="5"/>
      <c r="I38" s="5"/>
      <c r="J38" s="5">
        <f t="shared" si="4"/>
        <v>2800000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5">
      <c r="A39" s="2" t="s">
        <v>30</v>
      </c>
      <c r="B39" s="5"/>
      <c r="C39" s="5"/>
      <c r="E39" s="5">
        <v>3800000</v>
      </c>
      <c r="F39" s="5"/>
      <c r="G39" s="5"/>
      <c r="H39" s="5"/>
      <c r="I39" s="5"/>
      <c r="J39" s="5">
        <f t="shared" si="4"/>
        <v>3800000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5">
      <c r="A40" s="2" t="s">
        <v>31</v>
      </c>
      <c r="B40" s="5"/>
      <c r="C40" s="5">
        <v>4000000</v>
      </c>
      <c r="D40" s="5">
        <v>14100000</v>
      </c>
      <c r="E40" s="5"/>
      <c r="F40" s="5"/>
      <c r="G40" s="5"/>
      <c r="H40" s="5"/>
      <c r="I40" s="5"/>
      <c r="J40" s="5">
        <f t="shared" si="4"/>
        <v>18100000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5">
      <c r="A41" s="2" t="s">
        <v>37</v>
      </c>
      <c r="B41" s="5"/>
      <c r="C41" s="5">
        <v>500000</v>
      </c>
      <c r="E41" s="5"/>
      <c r="F41" s="5"/>
      <c r="G41" s="5"/>
      <c r="H41" s="5"/>
      <c r="I41" s="5"/>
      <c r="J41" s="5">
        <f t="shared" si="4"/>
        <v>500000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5">
      <c r="A42" s="2" t="s">
        <v>32</v>
      </c>
      <c r="B42" s="5"/>
      <c r="D42" s="5">
        <v>812000</v>
      </c>
      <c r="E42" s="5"/>
      <c r="G42" s="5"/>
      <c r="H42" s="5"/>
      <c r="I42" s="5"/>
      <c r="J42" s="5">
        <f t="shared" si="4"/>
        <v>812000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5">
      <c r="A43" s="2" t="s">
        <v>62</v>
      </c>
      <c r="B43" s="5"/>
      <c r="C43" s="17">
        <v>300000</v>
      </c>
      <c r="D43" s="17">
        <v>1600000</v>
      </c>
      <c r="E43" s="17">
        <f>1100000+1800000</f>
        <v>2900000</v>
      </c>
      <c r="F43" s="17">
        <f>2100000-1800000</f>
        <v>300000</v>
      </c>
      <c r="G43" s="5">
        <v>2954500</v>
      </c>
      <c r="H43" s="5"/>
      <c r="I43" s="5"/>
      <c r="J43" s="5">
        <f t="shared" si="4"/>
        <v>8054500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5">
      <c r="A44" s="2" t="s">
        <v>34</v>
      </c>
      <c r="B44" s="5"/>
      <c r="C44" s="5">
        <v>495000</v>
      </c>
      <c r="D44" s="5">
        <v>560000</v>
      </c>
      <c r="E44" s="5">
        <v>980000</v>
      </c>
      <c r="F44" s="5">
        <v>100000</v>
      </c>
      <c r="G44" s="5"/>
      <c r="H44" s="5"/>
      <c r="I44" s="5"/>
      <c r="J44" s="5">
        <f t="shared" si="4"/>
        <v>2135000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5">
      <c r="A45" s="2" t="s">
        <v>18</v>
      </c>
      <c r="B45" s="5">
        <v>223140</v>
      </c>
      <c r="C45" s="5">
        <v>232061</v>
      </c>
      <c r="D45" s="5">
        <f aca="true" t="shared" si="5" ref="D45:I45">+C45*1.04</f>
        <v>241343.44</v>
      </c>
      <c r="E45" s="5">
        <f t="shared" si="5"/>
        <v>250997.17760000002</v>
      </c>
      <c r="F45" s="5">
        <f t="shared" si="5"/>
        <v>261037.06470400005</v>
      </c>
      <c r="G45" s="5">
        <f t="shared" si="5"/>
        <v>271478.54729216004</v>
      </c>
      <c r="H45" s="5">
        <f t="shared" si="5"/>
        <v>282337.68918384647</v>
      </c>
      <c r="I45" s="5">
        <f t="shared" si="5"/>
        <v>293631.19675120036</v>
      </c>
      <c r="J45" s="5">
        <f>SUM(B45:I45)</f>
        <v>2056026.1155312068</v>
      </c>
      <c r="K45" s="12" t="s">
        <v>1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5">
      <c r="A46" s="2" t="s">
        <v>14</v>
      </c>
      <c r="B46" s="5">
        <v>40000</v>
      </c>
      <c r="C46" s="5">
        <v>40000</v>
      </c>
      <c r="D46" s="5">
        <v>40000</v>
      </c>
      <c r="E46" s="5">
        <v>40000</v>
      </c>
      <c r="F46" s="5" t="s">
        <v>1</v>
      </c>
      <c r="G46" s="5" t="s">
        <v>1</v>
      </c>
      <c r="H46" s="5" t="s">
        <v>1</v>
      </c>
      <c r="I46" s="5" t="s">
        <v>1</v>
      </c>
      <c r="J46" s="5">
        <f>SUM(B46:I46)</f>
        <v>160000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5">
      <c r="A47" s="2" t="s">
        <v>36</v>
      </c>
      <c r="B47" s="5">
        <f>303752.55-2919.29-34952</f>
        <v>265881.26</v>
      </c>
      <c r="C47" s="5" t="s">
        <v>1</v>
      </c>
      <c r="D47" s="5" t="s">
        <v>1</v>
      </c>
      <c r="E47" s="5" t="s">
        <v>1</v>
      </c>
      <c r="F47" s="5" t="s">
        <v>1</v>
      </c>
      <c r="G47" s="5" t="s">
        <v>1</v>
      </c>
      <c r="H47" s="5" t="s">
        <v>1</v>
      </c>
      <c r="I47" s="5" t="s">
        <v>1</v>
      </c>
      <c r="J47" s="5">
        <f>SUM(B47:I47)</f>
        <v>265881.26</v>
      </c>
      <c r="K47" s="5">
        <v>-207619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5">
      <c r="A48" s="2" t="s">
        <v>15</v>
      </c>
      <c r="B48" s="5">
        <f>4515000+551090+2500</f>
        <v>5068590</v>
      </c>
      <c r="C48" s="5">
        <f>2432326.25+2644245</f>
        <v>5076571.25</v>
      </c>
      <c r="D48" s="5">
        <f>2539870+1263405</f>
        <v>3803275</v>
      </c>
      <c r="E48" s="5"/>
      <c r="F48" s="5"/>
      <c r="G48" s="5"/>
      <c r="H48" s="5"/>
      <c r="I48" s="5"/>
      <c r="J48" s="5">
        <f>SUM(B48:I48)</f>
        <v>13948436.25</v>
      </c>
      <c r="K48" s="5">
        <v>-830048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5">
      <c r="A49" s="2" t="s">
        <v>16</v>
      </c>
      <c r="B49" s="5" t="s">
        <v>1</v>
      </c>
      <c r="C49" s="5">
        <f>617174+669225</f>
        <v>1286399</v>
      </c>
      <c r="D49" s="5">
        <f>669225+1904225</f>
        <v>2573450</v>
      </c>
      <c r="E49" s="5">
        <f>3169525+3171400</f>
        <v>6340925</v>
      </c>
      <c r="F49" s="5">
        <f>3169600+3166800</f>
        <v>6336400</v>
      </c>
      <c r="G49" s="5">
        <f>3171275+3167400</f>
        <v>6338675</v>
      </c>
      <c r="H49" s="5">
        <f>3171000+3169000</f>
        <v>6340000</v>
      </c>
      <c r="I49" s="5">
        <f>3167625+3167250</f>
        <v>6334875</v>
      </c>
      <c r="J49" s="5">
        <f>SUM(B49:I49)</f>
        <v>35550724</v>
      </c>
      <c r="K49" s="5">
        <f>-7309</f>
        <v>-7309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5">
      <c r="A50" s="2"/>
      <c r="B50" s="5" t="s">
        <v>1</v>
      </c>
      <c r="C50" s="5" t="s">
        <v>1</v>
      </c>
      <c r="D50" s="5" t="s">
        <v>1</v>
      </c>
      <c r="E50" s="5"/>
      <c r="F50" s="5"/>
      <c r="G50" s="5"/>
      <c r="H50" s="5"/>
      <c r="I50" s="5" t="s">
        <v>1</v>
      </c>
      <c r="J50" s="5" t="s">
        <v>1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5">
      <c r="A51" s="3" t="s">
        <v>9</v>
      </c>
      <c r="B51" s="5">
        <f aca="true" t="shared" si="6" ref="B51:K51">SUM(B22:B49)</f>
        <v>6698767.22</v>
      </c>
      <c r="C51" s="5">
        <f t="shared" si="6"/>
        <v>16938213.25</v>
      </c>
      <c r="D51" s="5">
        <f t="shared" si="6"/>
        <v>29745318.44</v>
      </c>
      <c r="E51" s="5">
        <f t="shared" si="6"/>
        <v>17561922.1776</v>
      </c>
      <c r="F51" s="5">
        <f t="shared" si="6"/>
        <v>10497437.064704001</v>
      </c>
      <c r="G51" s="5">
        <f t="shared" si="6"/>
        <v>10764653.54729216</v>
      </c>
      <c r="H51" s="5">
        <f t="shared" si="6"/>
        <v>6622337.689183846</v>
      </c>
      <c r="I51" s="5">
        <f t="shared" si="6"/>
        <v>6628506.196751201</v>
      </c>
      <c r="J51" s="5">
        <f t="shared" si="6"/>
        <v>105457155.5855312</v>
      </c>
      <c r="K51" s="5">
        <f t="shared" si="6"/>
        <v>-351496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5">
      <c r="A52" s="2"/>
      <c r="B52" s="5" t="s">
        <v>1</v>
      </c>
      <c r="C52" s="5" t="s">
        <v>1</v>
      </c>
      <c r="D52" s="5" t="s">
        <v>1</v>
      </c>
      <c r="E52" s="5"/>
      <c r="F52" s="5"/>
      <c r="G52" s="5"/>
      <c r="H52" s="5"/>
      <c r="I52" s="5"/>
      <c r="J52" s="5" t="s">
        <v>1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5.75" thickBot="1">
      <c r="A53" s="2" t="s">
        <v>10</v>
      </c>
      <c r="B53" s="8">
        <f aca="true" t="shared" si="7" ref="B53:I53">B18-B51</f>
        <v>34562815.5</v>
      </c>
      <c r="C53" s="8">
        <f t="shared" si="7"/>
        <v>26944799.51625</v>
      </c>
      <c r="D53" s="8">
        <f t="shared" si="7"/>
        <v>9328548.336737495</v>
      </c>
      <c r="E53" s="8">
        <f t="shared" si="7"/>
        <v>1366770.8366146162</v>
      </c>
      <c r="F53" s="8">
        <f t="shared" si="7"/>
        <v>648692.9996159263</v>
      </c>
      <c r="G53" s="8">
        <f t="shared" si="7"/>
        <v>78737.27453642525</v>
      </c>
      <c r="H53" s="8">
        <f t="shared" si="7"/>
        <v>4039812.577101819</v>
      </c>
      <c r="I53" s="8">
        <f t="shared" si="7"/>
        <v>11454598.026117347</v>
      </c>
      <c r="J53" s="8">
        <f>J18-J51+B7</f>
        <v>11454598.026117349</v>
      </c>
      <c r="K53" s="8">
        <f>+K18+K51</f>
        <v>112976.02611734718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5.75" thickTop="1">
      <c r="A54" s="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5">
      <c r="A55" s="2" t="s">
        <v>63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5">
      <c r="A56" s="2" t="s">
        <v>64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5">
      <c r="A57" s="2" t="s">
        <v>65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5">
      <c r="A58" s="2" t="s">
        <v>44</v>
      </c>
      <c r="B58" s="2" t="s">
        <v>1</v>
      </c>
      <c r="C58" s="2"/>
      <c r="D58" s="2"/>
      <c r="E58" s="2"/>
      <c r="F58" s="2"/>
      <c r="G58" s="2"/>
      <c r="H58" s="2"/>
      <c r="I58" s="2"/>
      <c r="J58" s="12">
        <f>+J53-11341622</f>
        <v>112976.02611734904</v>
      </c>
      <c r="K58" s="12">
        <f>+K53-J58</f>
        <v>-1.862645149230957E-09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5">
      <c r="A59" s="2" t="s">
        <v>45</v>
      </c>
      <c r="B59" s="11">
        <v>7250200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5">
      <c r="A60" s="2" t="s">
        <v>46</v>
      </c>
      <c r="B60" s="11">
        <v>30113969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5">
      <c r="A61" s="2" t="s">
        <v>47</v>
      </c>
      <c r="B61" s="11">
        <v>2518147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5">
      <c r="A62" s="2" t="s">
        <v>48</v>
      </c>
      <c r="B62" s="11">
        <v>-2919000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5">
      <c r="A63" s="2" t="s">
        <v>49</v>
      </c>
      <c r="B63" s="11">
        <v>-2400500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5">
      <c r="A64" s="2" t="s">
        <v>50</v>
      </c>
      <c r="B64" s="11">
        <f>SUM(B59:B63)</f>
        <v>34562816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</sheetData>
  <hyperlinks>
    <hyperlink ref="J19" r:id="rId1" display="+b7+@sum(j9..j12)"/>
    <hyperlink ref="C13" r:id="rId2" display="+c7-@sum(c51/2)*.03"/>
  </hyperlinks>
  <printOptions/>
  <pageMargins left="0.5" right="0.5" top="0.95" bottom="0.55" header="0.5" footer="0.5"/>
  <pageSetup fitToHeight="1" fitToWidth="1" horizontalDpi="300" verticalDpi="300" orientation="portrait" scale="61" r:id="rId3"/>
  <headerFooter alignWithMargins="0">
    <oddHeader>&amp;L
&amp;C&amp;"Arial,Bold"&amp;16 2012 Cash Flow Analysis with Revised Street Projects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98"/>
  <sheetViews>
    <sheetView zoomScale="75" zoomScaleNormal="75" workbookViewId="0" topLeftCell="A32">
      <selection activeCell="A52" sqref="A52"/>
    </sheetView>
  </sheetViews>
  <sheetFormatPr defaultColWidth="15.6640625" defaultRowHeight="15"/>
  <cols>
    <col min="1" max="1" width="31.6640625" style="0" customWidth="1"/>
    <col min="2" max="2" width="7.77734375" style="0" customWidth="1"/>
    <col min="3" max="3" width="10.5546875" style="0" bestFit="1" customWidth="1"/>
    <col min="4" max="4" width="9.21484375" style="0" bestFit="1" customWidth="1"/>
    <col min="5" max="9" width="8.10546875" style="0" bestFit="1" customWidth="1"/>
    <col min="10" max="10" width="8.88671875" style="0" bestFit="1" customWidth="1"/>
    <col min="11" max="11" width="8.6640625" style="0" customWidth="1"/>
    <col min="12" max="13" width="15.77734375" style="0" customWidth="1"/>
  </cols>
  <sheetData>
    <row r="1" spans="1:41" ht="15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">
      <c r="A2" s="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">
      <c r="A3" s="2" t="s">
        <v>51</v>
      </c>
      <c r="B3" s="2"/>
      <c r="C3" s="2"/>
      <c r="D3" s="2"/>
      <c r="E3" s="2"/>
      <c r="F3" s="2"/>
      <c r="G3" s="2"/>
      <c r="H3" s="2"/>
      <c r="I3" s="3" t="s">
        <v>1</v>
      </c>
      <c r="J3" s="3" t="s">
        <v>0</v>
      </c>
      <c r="K3" s="2" t="s">
        <v>52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15">
      <c r="A4" s="2" t="s">
        <v>1</v>
      </c>
      <c r="B4" s="3">
        <v>2005</v>
      </c>
      <c r="C4" s="3">
        <v>2006</v>
      </c>
      <c r="D4" s="3">
        <v>2007</v>
      </c>
      <c r="E4" s="3">
        <v>2008</v>
      </c>
      <c r="F4" s="3">
        <v>2009</v>
      </c>
      <c r="G4" s="3">
        <v>2010</v>
      </c>
      <c r="H4" s="3">
        <v>2011</v>
      </c>
      <c r="I4" s="3">
        <v>2012</v>
      </c>
      <c r="J4" s="3"/>
      <c r="K4" s="2" t="s">
        <v>53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15">
      <c r="A5" s="2" t="s">
        <v>2</v>
      </c>
      <c r="B5" s="4" t="s">
        <v>38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15">
      <c r="A6" s="2"/>
      <c r="B6" s="5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15">
      <c r="A7" s="2" t="s">
        <v>3</v>
      </c>
      <c r="B7" s="5">
        <f>4134899.59+2490592.67+500000</f>
        <v>7125492.26</v>
      </c>
      <c r="C7" s="5">
        <f aca="true" t="shared" si="0" ref="C7:J7">B53</f>
        <v>34562815.5</v>
      </c>
      <c r="D7" s="5">
        <f t="shared" si="0"/>
        <v>26031299.51625</v>
      </c>
      <c r="E7" s="5">
        <f t="shared" si="0"/>
        <v>6199643.336737495</v>
      </c>
      <c r="F7" s="5">
        <f t="shared" si="0"/>
        <v>3543998.686614616</v>
      </c>
      <c r="G7" s="5">
        <f t="shared" si="0"/>
        <v>1391237.685115926</v>
      </c>
      <c r="H7" s="5">
        <f t="shared" si="0"/>
        <v>343558.30060142465</v>
      </c>
      <c r="I7" s="5">
        <f t="shared" si="0"/>
        <v>4312578.233948769</v>
      </c>
      <c r="J7" s="5">
        <f t="shared" si="0"/>
        <v>11735546.652669705</v>
      </c>
      <c r="K7" s="5">
        <f>+J7-11341622</f>
        <v>393924.65266970545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15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5">
      <c r="A9" s="2" t="s">
        <v>4</v>
      </c>
      <c r="B9" s="5">
        <v>29190000</v>
      </c>
      <c r="C9" s="5">
        <v>0</v>
      </c>
      <c r="D9" s="5"/>
      <c r="E9" s="5"/>
      <c r="F9" s="5"/>
      <c r="G9" s="5"/>
      <c r="H9" s="5"/>
      <c r="I9" s="5"/>
      <c r="J9" s="5">
        <f aca="true" t="shared" si="1" ref="J9:J16">SUM(B9:I9)</f>
        <v>29190000</v>
      </c>
      <c r="K9" s="5">
        <f>+J9-30415000</f>
        <v>-1225000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2"/>
      <c r="AL9" s="2"/>
      <c r="AM9" s="2"/>
      <c r="AN9" s="2"/>
      <c r="AO9" s="2"/>
    </row>
    <row r="10" spans="1:41" ht="15">
      <c r="A10" s="2" t="s">
        <v>40</v>
      </c>
      <c r="B10" s="5">
        <v>1176469</v>
      </c>
      <c r="C10" s="5"/>
      <c r="D10" s="5"/>
      <c r="E10" s="5"/>
      <c r="F10" s="5"/>
      <c r="G10" s="5"/>
      <c r="H10" s="5"/>
      <c r="I10" s="5"/>
      <c r="J10" s="5">
        <f t="shared" si="1"/>
        <v>1176469</v>
      </c>
      <c r="K10" s="5">
        <f>+J10</f>
        <v>1176469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2"/>
      <c r="AL10" s="2"/>
      <c r="AM10" s="2"/>
      <c r="AN10" s="2"/>
      <c r="AO10" s="2"/>
    </row>
    <row r="11" spans="1:41" ht="15">
      <c r="A11" s="2" t="s">
        <v>5</v>
      </c>
      <c r="B11" s="5">
        <v>8730494</v>
      </c>
      <c r="C11" s="5">
        <v>8507495</v>
      </c>
      <c r="D11" s="5">
        <f>(+C11*1.045)</f>
        <v>8890332.274999999</v>
      </c>
      <c r="E11" s="5">
        <f>(+D11*1.045)</f>
        <v>9290397.227374997</v>
      </c>
      <c r="F11" s="5">
        <f>(+E11*1.045)</f>
        <v>9708465.102606872</v>
      </c>
      <c r="G11" s="5">
        <f>(+F11*1.045)</f>
        <v>10145346.03222418</v>
      </c>
      <c r="H11" s="5">
        <f>(+G11*1.04)</f>
        <v>10551159.873513147</v>
      </c>
      <c r="I11" s="5">
        <f>(+H11*1.04)</f>
        <v>10973206.268453674</v>
      </c>
      <c r="J11" s="5">
        <f t="shared" si="1"/>
        <v>76796895.77917287</v>
      </c>
      <c r="K11" s="5">
        <v>238898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5">
      <c r="A12" s="2" t="s">
        <v>41</v>
      </c>
      <c r="B12" s="5">
        <v>127035</v>
      </c>
      <c r="C12" s="5"/>
      <c r="D12" s="5"/>
      <c r="E12" s="5"/>
      <c r="F12" s="5"/>
      <c r="G12" s="5"/>
      <c r="H12" s="5"/>
      <c r="I12" s="5"/>
      <c r="J12" s="5">
        <f t="shared" si="1"/>
        <v>127035</v>
      </c>
      <c r="K12" s="5">
        <v>38629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5">
      <c r="A13" s="2" t="s">
        <v>17</v>
      </c>
      <c r="B13" s="5">
        <f>191075+48332+174128-12198.54-199635</f>
        <v>201701.46000000002</v>
      </c>
      <c r="C13" s="14">
        <f>(C7-SUM(C51/2))*0.03</f>
        <v>769311.26625</v>
      </c>
      <c r="D13" s="5">
        <f aca="true" t="shared" si="2" ref="D13:I13">D7*0.03</f>
        <v>780938.9854875</v>
      </c>
      <c r="E13" s="5">
        <f t="shared" si="2"/>
        <v>185989.30010212483</v>
      </c>
      <c r="F13" s="5">
        <f t="shared" si="2"/>
        <v>106319.96059843847</v>
      </c>
      <c r="G13" s="5">
        <f t="shared" si="2"/>
        <v>41737.13055347778</v>
      </c>
      <c r="H13" s="5">
        <f t="shared" si="2"/>
        <v>10306.74901804274</v>
      </c>
      <c r="I13" s="5">
        <f t="shared" si="2"/>
        <v>129377.34701846307</v>
      </c>
      <c r="J13" s="5">
        <f t="shared" si="1"/>
        <v>2225682.199028047</v>
      </c>
      <c r="K13" s="5" t="s">
        <v>1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5">
      <c r="A14" s="2" t="s">
        <v>6</v>
      </c>
      <c r="B14" s="5">
        <f>17692+12199</f>
        <v>29891</v>
      </c>
      <c r="C14" s="5">
        <f>18754+11137</f>
        <v>29891</v>
      </c>
      <c r="D14" s="5">
        <f>19879+10012</f>
        <v>29891</v>
      </c>
      <c r="E14" s="5">
        <f>21072+8819</f>
        <v>29891</v>
      </c>
      <c r="F14" s="5">
        <f>22336+7555</f>
        <v>29891</v>
      </c>
      <c r="G14" s="5">
        <f>23676+6215</f>
        <v>29891</v>
      </c>
      <c r="H14" s="5">
        <f>25097+4794</f>
        <v>29891</v>
      </c>
      <c r="I14" s="5">
        <f>26603+3288</f>
        <v>29891</v>
      </c>
      <c r="J14" s="5">
        <f t="shared" si="1"/>
        <v>239128</v>
      </c>
      <c r="K14" s="5" t="s">
        <v>1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5">
      <c r="A15" s="2" t="s">
        <v>11</v>
      </c>
      <c r="B15" s="5">
        <f>-B9*0.1</f>
        <v>-2919000</v>
      </c>
      <c r="C15" s="5">
        <f>-C9*0.1</f>
        <v>0</v>
      </c>
      <c r="D15" s="5"/>
      <c r="E15" s="5"/>
      <c r="F15" s="5"/>
      <c r="G15" s="2"/>
      <c r="H15" s="5"/>
      <c r="I15" s="5">
        <v>2919000</v>
      </c>
      <c r="J15" s="5">
        <f t="shared" si="1"/>
        <v>0</v>
      </c>
      <c r="K15" s="5">
        <f>3041500-2919000</f>
        <v>122500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5.75" thickBot="1">
      <c r="A16" s="2" t="s">
        <v>12</v>
      </c>
      <c r="B16" s="6">
        <v>-2400500</v>
      </c>
      <c r="C16" s="6" t="s">
        <v>1</v>
      </c>
      <c r="D16" s="6">
        <v>2400500</v>
      </c>
      <c r="E16" s="6"/>
      <c r="F16" s="6"/>
      <c r="G16" s="6" t="s">
        <v>1</v>
      </c>
      <c r="H16" s="6"/>
      <c r="I16" s="6"/>
      <c r="J16" s="10">
        <f t="shared" si="1"/>
        <v>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2"/>
      <c r="AL16" s="2"/>
      <c r="AM16" s="2"/>
      <c r="AN16" s="2"/>
      <c r="AO16" s="2"/>
    </row>
    <row r="17" spans="1:41" ht="15">
      <c r="A17" s="2" t="s">
        <v>1</v>
      </c>
      <c r="B17" s="5" t="s">
        <v>1</v>
      </c>
      <c r="C17" s="5" t="s">
        <v>1</v>
      </c>
      <c r="D17" s="5" t="s">
        <v>1</v>
      </c>
      <c r="E17" s="5"/>
      <c r="F17" s="5"/>
      <c r="G17" s="5"/>
      <c r="H17" s="5"/>
      <c r="I17" s="5"/>
      <c r="J17" s="5" t="s">
        <v>1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5">
      <c r="A18" s="2" t="s">
        <v>7</v>
      </c>
      <c r="B18" s="5">
        <f>SUM(B7:B16)</f>
        <v>41261582.72</v>
      </c>
      <c r="C18" s="5">
        <f aca="true" t="shared" si="3" ref="C18:I18">SUM(C7:C16)</f>
        <v>43869512.76625</v>
      </c>
      <c r="D18" s="5">
        <f t="shared" si="3"/>
        <v>38132961.776737496</v>
      </c>
      <c r="E18" s="5">
        <f t="shared" si="3"/>
        <v>15705920.864214616</v>
      </c>
      <c r="F18" s="5">
        <f t="shared" si="3"/>
        <v>13388674.749819927</v>
      </c>
      <c r="G18" s="5">
        <f t="shared" si="3"/>
        <v>11608211.847893585</v>
      </c>
      <c r="H18" s="5">
        <f t="shared" si="3"/>
        <v>10934915.923132615</v>
      </c>
      <c r="I18" s="5">
        <f t="shared" si="3"/>
        <v>18364052.849420905</v>
      </c>
      <c r="J18" s="5">
        <f>SUM(J9:J16)</f>
        <v>109755209.97820091</v>
      </c>
      <c r="K18" s="5">
        <f>SUM(K7:K16)</f>
        <v>745420.6526697055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5">
      <c r="A19" s="2"/>
      <c r="B19" s="5"/>
      <c r="C19" s="5"/>
      <c r="D19" s="5"/>
      <c r="E19" s="5"/>
      <c r="F19" s="5"/>
      <c r="G19" s="5"/>
      <c r="H19" s="5"/>
      <c r="I19" s="5"/>
      <c r="J19" s="7" t="s">
        <v>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5">
      <c r="A20" s="2" t="s">
        <v>8</v>
      </c>
      <c r="B20" s="5" t="s">
        <v>1</v>
      </c>
      <c r="C20" s="5"/>
      <c r="D20" s="5"/>
      <c r="E20" s="5"/>
      <c r="F20" s="5"/>
      <c r="G20" s="5"/>
      <c r="H20" s="5"/>
      <c r="I20" s="5"/>
      <c r="J20" s="5" t="s">
        <v>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5">
      <c r="A21" s="2" t="s">
        <v>1</v>
      </c>
      <c r="B21" s="5"/>
      <c r="C21" s="5"/>
      <c r="D21" s="5"/>
      <c r="E21" s="5"/>
      <c r="F21" s="5"/>
      <c r="G21" s="5"/>
      <c r="H21" s="5"/>
      <c r="I21" s="5"/>
      <c r="J21" s="5" t="s">
        <v>1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ht="15">
      <c r="A22" s="2" t="s">
        <v>42</v>
      </c>
      <c r="B22" s="5">
        <f>137866-68933</f>
        <v>68933</v>
      </c>
      <c r="C22" s="5"/>
      <c r="D22" s="5"/>
      <c r="E22" s="5"/>
      <c r="F22" s="5"/>
      <c r="G22" s="5"/>
      <c r="H22" s="5"/>
      <c r="I22" s="5"/>
      <c r="J22" s="5">
        <f>SUM(B22:I22)</f>
        <v>68933</v>
      </c>
      <c r="K22" s="12">
        <v>-73121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ht="15">
      <c r="A23" s="2" t="s">
        <v>13</v>
      </c>
      <c r="B23" s="5">
        <v>532222.96</v>
      </c>
      <c r="C23" s="5" t="s">
        <v>1</v>
      </c>
      <c r="D23" s="5" t="s">
        <v>1</v>
      </c>
      <c r="E23" s="5" t="s">
        <v>1</v>
      </c>
      <c r="F23" s="5" t="s">
        <v>1</v>
      </c>
      <c r="G23" s="5" t="s">
        <v>1</v>
      </c>
      <c r="H23" s="5" t="s">
        <v>1</v>
      </c>
      <c r="I23" s="5" t="s">
        <v>1</v>
      </c>
      <c r="J23" s="5">
        <f>SUM(B23:I23)</f>
        <v>532222.96</v>
      </c>
      <c r="K23" s="12">
        <v>390169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5">
      <c r="A24" s="2" t="s">
        <v>35</v>
      </c>
      <c r="B24" s="5">
        <v>500000</v>
      </c>
      <c r="C24" s="5"/>
      <c r="D24" s="5"/>
      <c r="E24" s="5"/>
      <c r="F24" s="5"/>
      <c r="G24" s="5"/>
      <c r="H24" s="5"/>
      <c r="I24" s="5"/>
      <c r="J24" s="5">
        <f>SUM(B24:I24)</f>
        <v>500000</v>
      </c>
      <c r="K24" s="13" t="s">
        <v>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5">
      <c r="A25" s="2" t="s">
        <v>43</v>
      </c>
      <c r="B25" s="5"/>
      <c r="C25" s="5">
        <v>376432</v>
      </c>
      <c r="D25" s="5"/>
      <c r="E25" s="5"/>
      <c r="F25" s="5"/>
      <c r="G25" s="5"/>
      <c r="H25" s="5"/>
      <c r="I25" s="5"/>
      <c r="J25" s="5">
        <f>SUM(B25:I25)</f>
        <v>376432</v>
      </c>
      <c r="K25" s="12">
        <v>376432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5">
      <c r="A26" s="2" t="s">
        <v>19</v>
      </c>
      <c r="B26" s="5"/>
      <c r="C26" s="5">
        <v>100000</v>
      </c>
      <c r="E26" s="5"/>
      <c r="F26" s="5"/>
      <c r="G26" s="5"/>
      <c r="H26" s="5"/>
      <c r="I26" s="5"/>
      <c r="J26" s="5">
        <f aca="true" t="shared" si="4" ref="J26:J44">SUM(B26:I26)</f>
        <v>100000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5">
      <c r="A27" s="2" t="s">
        <v>20</v>
      </c>
      <c r="B27" s="5"/>
      <c r="C27" s="5">
        <v>280000</v>
      </c>
      <c r="D27" s="5"/>
      <c r="E27" s="5"/>
      <c r="F27" s="5"/>
      <c r="G27" s="5"/>
      <c r="H27" s="5"/>
      <c r="I27" s="5"/>
      <c r="J27" s="5">
        <f t="shared" si="4"/>
        <v>280000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5">
      <c r="A28" s="2" t="s">
        <v>21</v>
      </c>
      <c r="B28" s="5"/>
      <c r="C28" s="5">
        <v>737000</v>
      </c>
      <c r="D28" s="5"/>
      <c r="E28" s="5"/>
      <c r="F28" s="5"/>
      <c r="G28" s="5"/>
      <c r="H28" s="5"/>
      <c r="I28" s="5"/>
      <c r="J28" s="5">
        <f t="shared" si="4"/>
        <v>737000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ht="15">
      <c r="A29" s="2" t="s">
        <v>22</v>
      </c>
      <c r="B29" s="5"/>
      <c r="C29" s="9">
        <v>500000</v>
      </c>
      <c r="D29" s="5">
        <v>2700000</v>
      </c>
      <c r="E29" s="5">
        <v>300000</v>
      </c>
      <c r="F29" s="5">
        <v>3000000</v>
      </c>
      <c r="G29" s="5"/>
      <c r="H29" s="5"/>
      <c r="I29" s="5"/>
      <c r="J29" s="5">
        <f t="shared" si="4"/>
        <v>6500000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5">
      <c r="A30" s="2" t="s">
        <v>23</v>
      </c>
      <c r="B30" s="5"/>
      <c r="C30" s="5"/>
      <c r="D30" s="5"/>
      <c r="E30" s="5">
        <v>250000</v>
      </c>
      <c r="F30" s="5"/>
      <c r="G30" s="5"/>
      <c r="H30" s="5"/>
      <c r="I30" s="5"/>
      <c r="J30" s="5">
        <f t="shared" si="4"/>
        <v>250000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5">
      <c r="A31" s="2" t="s">
        <v>24</v>
      </c>
      <c r="B31" s="5"/>
      <c r="C31" s="5"/>
      <c r="D31" s="5">
        <v>350000</v>
      </c>
      <c r="E31" s="5"/>
      <c r="F31" s="5"/>
      <c r="G31" s="5"/>
      <c r="H31" s="5"/>
      <c r="I31" s="5"/>
      <c r="J31" s="5">
        <f t="shared" si="4"/>
        <v>350000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5">
      <c r="A32" s="2" t="s">
        <v>55</v>
      </c>
      <c r="B32" s="5"/>
      <c r="C32" s="5">
        <v>25000</v>
      </c>
      <c r="D32" s="16">
        <v>1475000</v>
      </c>
      <c r="E32" s="5"/>
      <c r="F32" s="5"/>
      <c r="G32" s="5"/>
      <c r="H32" s="5"/>
      <c r="I32" s="5"/>
      <c r="J32" s="5">
        <f t="shared" si="4"/>
        <v>1500000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5">
      <c r="A33" s="2" t="s">
        <v>56</v>
      </c>
      <c r="B33" s="5"/>
      <c r="C33" s="5">
        <v>9750</v>
      </c>
      <c r="D33" s="5">
        <f>400000-9750</f>
        <v>390250</v>
      </c>
      <c r="E33" s="5"/>
      <c r="F33" s="5"/>
      <c r="G33" s="5"/>
      <c r="H33" s="5"/>
      <c r="I33" s="5"/>
      <c r="J33" s="5">
        <f t="shared" si="4"/>
        <v>400000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15">
      <c r="A34" s="2" t="s">
        <v>25</v>
      </c>
      <c r="B34" s="5"/>
      <c r="C34" s="5">
        <v>1000000</v>
      </c>
      <c r="E34" s="5"/>
      <c r="F34" s="5"/>
      <c r="G34" s="5"/>
      <c r="H34" s="5"/>
      <c r="I34" s="5"/>
      <c r="J34" s="5">
        <f t="shared" si="4"/>
        <v>1000000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5">
      <c r="A35" s="2" t="s">
        <v>26</v>
      </c>
      <c r="B35" s="5"/>
      <c r="C35" s="5">
        <v>280000</v>
      </c>
      <c r="D35" s="5"/>
      <c r="E35" s="5"/>
      <c r="F35" s="5"/>
      <c r="G35" s="5"/>
      <c r="H35" s="5"/>
      <c r="I35" s="5"/>
      <c r="J35" s="5">
        <f t="shared" si="4"/>
        <v>280000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5">
      <c r="A36" s="2" t="s">
        <v>27</v>
      </c>
      <c r="B36" s="5"/>
      <c r="C36" s="5">
        <v>700000</v>
      </c>
      <c r="D36" s="5"/>
      <c r="E36" s="5"/>
      <c r="F36" s="5"/>
      <c r="G36" s="5"/>
      <c r="H36" s="5"/>
      <c r="I36" s="5"/>
      <c r="J36" s="5">
        <f t="shared" si="4"/>
        <v>700000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5">
      <c r="A37" s="2" t="s">
        <v>28</v>
      </c>
      <c r="B37" s="5"/>
      <c r="C37" s="5">
        <v>500000</v>
      </c>
      <c r="D37" s="5">
        <v>500000</v>
      </c>
      <c r="E37" s="5">
        <v>800000</v>
      </c>
      <c r="F37" s="5">
        <v>800000</v>
      </c>
      <c r="G37" s="5">
        <v>1100000</v>
      </c>
      <c r="H37" s="5"/>
      <c r="I37" s="5"/>
      <c r="J37" s="5">
        <f t="shared" si="4"/>
        <v>3700000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5">
      <c r="A38" s="2" t="s">
        <v>29</v>
      </c>
      <c r="B38" s="5"/>
      <c r="D38" s="5">
        <v>600000</v>
      </c>
      <c r="E38" s="5">
        <v>2200000</v>
      </c>
      <c r="F38" s="5"/>
      <c r="G38" s="5"/>
      <c r="H38" s="5"/>
      <c r="I38" s="5"/>
      <c r="J38" s="5">
        <f t="shared" si="4"/>
        <v>2800000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5">
      <c r="A39" s="2" t="s">
        <v>30</v>
      </c>
      <c r="B39" s="5"/>
      <c r="C39" s="5"/>
      <c r="D39" s="5">
        <v>3800000</v>
      </c>
      <c r="E39" s="5"/>
      <c r="F39" s="5"/>
      <c r="G39" s="5"/>
      <c r="H39" s="5"/>
      <c r="I39" s="5"/>
      <c r="J39" s="5">
        <f t="shared" si="4"/>
        <v>3800000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5">
      <c r="A40" s="2" t="s">
        <v>31</v>
      </c>
      <c r="B40" s="5"/>
      <c r="C40" s="5">
        <v>5200000</v>
      </c>
      <c r="D40" s="5">
        <v>13400000</v>
      </c>
      <c r="E40" s="5"/>
      <c r="F40" s="5"/>
      <c r="G40" s="5"/>
      <c r="H40" s="5"/>
      <c r="I40" s="5"/>
      <c r="J40" s="5">
        <f t="shared" si="4"/>
        <v>18600000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5">
      <c r="A41" s="2" t="s">
        <v>37</v>
      </c>
      <c r="B41" s="5"/>
      <c r="D41" s="5">
        <v>500000</v>
      </c>
      <c r="E41" s="5"/>
      <c r="F41" s="5"/>
      <c r="G41" s="5"/>
      <c r="H41" s="5"/>
      <c r="I41" s="5"/>
      <c r="J41" s="5">
        <f t="shared" si="4"/>
        <v>500000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15">
      <c r="A42" s="2" t="s">
        <v>32</v>
      </c>
      <c r="B42" s="5"/>
      <c r="D42" s="5"/>
      <c r="E42" s="5"/>
      <c r="G42" s="5"/>
      <c r="H42" s="5"/>
      <c r="I42" s="5"/>
      <c r="J42" s="5">
        <f t="shared" si="4"/>
        <v>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5">
      <c r="A43" s="2" t="s">
        <v>33</v>
      </c>
      <c r="B43" s="5"/>
      <c r="C43" s="5">
        <v>1000000</v>
      </c>
      <c r="D43" s="5">
        <v>1000000</v>
      </c>
      <c r="E43" s="5">
        <v>1000000</v>
      </c>
      <c r="F43" s="5">
        <v>1500000</v>
      </c>
      <c r="G43" s="5">
        <v>3554500</v>
      </c>
      <c r="H43" s="5"/>
      <c r="I43" s="5"/>
      <c r="J43" s="5">
        <f t="shared" si="4"/>
        <v>8054500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5">
      <c r="A44" s="2" t="s">
        <v>34</v>
      </c>
      <c r="B44" s="5"/>
      <c r="C44" s="5">
        <v>495000</v>
      </c>
      <c r="D44" s="5">
        <v>560000</v>
      </c>
      <c r="E44" s="5">
        <v>980000</v>
      </c>
      <c r="F44" s="5">
        <v>100000</v>
      </c>
      <c r="G44" s="5"/>
      <c r="H44" s="5"/>
      <c r="I44" s="5"/>
      <c r="J44" s="5">
        <f t="shared" si="4"/>
        <v>2135000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5">
      <c r="A45" s="2" t="s">
        <v>18</v>
      </c>
      <c r="B45" s="5">
        <v>223140</v>
      </c>
      <c r="C45" s="5">
        <v>232061</v>
      </c>
      <c r="D45" s="5">
        <f aca="true" t="shared" si="5" ref="D45:I45">+C45*1.04</f>
        <v>241343.44</v>
      </c>
      <c r="E45" s="5">
        <f t="shared" si="5"/>
        <v>250997.17760000002</v>
      </c>
      <c r="F45" s="5">
        <f t="shared" si="5"/>
        <v>261037.06470400005</v>
      </c>
      <c r="G45" s="5">
        <f t="shared" si="5"/>
        <v>271478.54729216004</v>
      </c>
      <c r="H45" s="5">
        <f t="shared" si="5"/>
        <v>282337.68918384647</v>
      </c>
      <c r="I45" s="5">
        <f t="shared" si="5"/>
        <v>293631.19675120036</v>
      </c>
      <c r="J45" s="5">
        <f>SUM(B45:I45)</f>
        <v>2056026.1155312068</v>
      </c>
      <c r="K45" s="12" t="s">
        <v>1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5">
      <c r="A46" s="2" t="s">
        <v>14</v>
      </c>
      <c r="B46" s="5">
        <v>40000</v>
      </c>
      <c r="C46" s="5">
        <v>40000</v>
      </c>
      <c r="D46" s="5">
        <v>40000</v>
      </c>
      <c r="E46" s="5">
        <v>40000</v>
      </c>
      <c r="F46" s="5" t="s">
        <v>1</v>
      </c>
      <c r="G46" s="5" t="s">
        <v>1</v>
      </c>
      <c r="H46" s="5" t="s">
        <v>1</v>
      </c>
      <c r="I46" s="5" t="s">
        <v>1</v>
      </c>
      <c r="J46" s="5">
        <f>SUM(B46:I46)</f>
        <v>160000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5">
      <c r="A47" s="2" t="s">
        <v>36</v>
      </c>
      <c r="B47" s="5">
        <f>303752.55-2919.29-34952</f>
        <v>265881.26</v>
      </c>
      <c r="C47" s="5" t="s">
        <v>1</v>
      </c>
      <c r="D47" s="5" t="s">
        <v>1</v>
      </c>
      <c r="E47" s="5" t="s">
        <v>1</v>
      </c>
      <c r="F47" s="5" t="s">
        <v>1</v>
      </c>
      <c r="G47" s="5" t="s">
        <v>1</v>
      </c>
      <c r="H47" s="5" t="s">
        <v>1</v>
      </c>
      <c r="I47" s="5" t="s">
        <v>1</v>
      </c>
      <c r="J47" s="5">
        <f>SUM(B47:I47)</f>
        <v>265881.26</v>
      </c>
      <c r="K47" s="5">
        <v>-207619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5">
      <c r="A48" s="2" t="s">
        <v>15</v>
      </c>
      <c r="B48" s="5">
        <f>4515000+551090+2500</f>
        <v>5068590</v>
      </c>
      <c r="C48" s="5">
        <f>2432326.25+2644245</f>
        <v>5076571.25</v>
      </c>
      <c r="D48" s="5">
        <f>2539870+1263405</f>
        <v>3803275</v>
      </c>
      <c r="E48" s="5"/>
      <c r="F48" s="5"/>
      <c r="G48" s="5"/>
      <c r="H48" s="5"/>
      <c r="I48" s="5"/>
      <c r="J48" s="5">
        <f>SUM(B48:I48)</f>
        <v>13948436.25</v>
      </c>
      <c r="K48" s="5">
        <v>-830048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5">
      <c r="A49" s="2" t="s">
        <v>16</v>
      </c>
      <c r="B49" s="5" t="s">
        <v>1</v>
      </c>
      <c r="C49" s="5">
        <f>617174+669225</f>
        <v>1286399</v>
      </c>
      <c r="D49" s="5">
        <f>669225+1904225</f>
        <v>2573450</v>
      </c>
      <c r="E49" s="5">
        <f>3169525+3171400</f>
        <v>6340925</v>
      </c>
      <c r="F49" s="5">
        <f>3169600+3166800</f>
        <v>6336400</v>
      </c>
      <c r="G49" s="5">
        <f>3171275+3167400</f>
        <v>6338675</v>
      </c>
      <c r="H49" s="5">
        <f>3171000+3169000</f>
        <v>6340000</v>
      </c>
      <c r="I49" s="5">
        <f>3167625+3167250</f>
        <v>6334875</v>
      </c>
      <c r="J49" s="5">
        <f>SUM(B49:I49)</f>
        <v>35550724</v>
      </c>
      <c r="K49" s="5">
        <f>-7309</f>
        <v>-7309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5">
      <c r="A50" s="2"/>
      <c r="B50" s="5" t="s">
        <v>1</v>
      </c>
      <c r="C50" s="5" t="s">
        <v>1</v>
      </c>
      <c r="D50" s="5" t="s">
        <v>1</v>
      </c>
      <c r="E50" s="5"/>
      <c r="F50" s="5"/>
      <c r="G50" s="5"/>
      <c r="H50" s="5"/>
      <c r="I50" s="5" t="s">
        <v>1</v>
      </c>
      <c r="J50" s="5" t="s">
        <v>1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5">
      <c r="A51" s="3" t="s">
        <v>9</v>
      </c>
      <c r="B51" s="5">
        <f aca="true" t="shared" si="6" ref="B51:K51">SUM(B22:B49)</f>
        <v>6698767.22</v>
      </c>
      <c r="C51" s="5">
        <f t="shared" si="6"/>
        <v>17838213.25</v>
      </c>
      <c r="D51" s="5">
        <f t="shared" si="6"/>
        <v>31933318.44</v>
      </c>
      <c r="E51" s="5">
        <f t="shared" si="6"/>
        <v>12161922.1776</v>
      </c>
      <c r="F51" s="5">
        <f t="shared" si="6"/>
        <v>11997437.064704001</v>
      </c>
      <c r="G51" s="5">
        <f t="shared" si="6"/>
        <v>11264653.54729216</v>
      </c>
      <c r="H51" s="5">
        <f t="shared" si="6"/>
        <v>6622337.689183846</v>
      </c>
      <c r="I51" s="5">
        <f t="shared" si="6"/>
        <v>6628506.196751201</v>
      </c>
      <c r="J51" s="5">
        <f t="shared" si="6"/>
        <v>105145155.5855312</v>
      </c>
      <c r="K51" s="5">
        <f t="shared" si="6"/>
        <v>-351496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5">
      <c r="A52" s="2"/>
      <c r="B52" s="5" t="s">
        <v>1</v>
      </c>
      <c r="C52" s="5" t="s">
        <v>1</v>
      </c>
      <c r="D52" s="5" t="s">
        <v>1</v>
      </c>
      <c r="E52" s="5"/>
      <c r="F52" s="5"/>
      <c r="G52" s="5"/>
      <c r="H52" s="5"/>
      <c r="I52" s="5"/>
      <c r="J52" s="5" t="s">
        <v>1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5.75" thickBot="1">
      <c r="A53" s="2" t="s">
        <v>10</v>
      </c>
      <c r="B53" s="8">
        <f aca="true" t="shared" si="7" ref="B53:I53">B18-B51</f>
        <v>34562815.5</v>
      </c>
      <c r="C53" s="8">
        <f t="shared" si="7"/>
        <v>26031299.51625</v>
      </c>
      <c r="D53" s="8">
        <f t="shared" si="7"/>
        <v>6199643.336737495</v>
      </c>
      <c r="E53" s="8">
        <f t="shared" si="7"/>
        <v>3543998.686614616</v>
      </c>
      <c r="F53" s="8">
        <f t="shared" si="7"/>
        <v>1391237.685115926</v>
      </c>
      <c r="G53" s="8">
        <f t="shared" si="7"/>
        <v>343558.30060142465</v>
      </c>
      <c r="H53" s="8">
        <f t="shared" si="7"/>
        <v>4312578.233948769</v>
      </c>
      <c r="I53" s="8">
        <f t="shared" si="7"/>
        <v>11735546.652669705</v>
      </c>
      <c r="J53" s="8">
        <f>J18-J51+B7</f>
        <v>11735546.652669707</v>
      </c>
      <c r="K53" s="8">
        <f>+K18+K51</f>
        <v>393924.65266970545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5.75" thickTop="1">
      <c r="A54" s="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5">
      <c r="A55" s="2" t="s">
        <v>57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5">
      <c r="A56" s="2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5">
      <c r="A57" s="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5">
      <c r="A58" s="2" t="s">
        <v>44</v>
      </c>
      <c r="B58" s="2" t="s">
        <v>1</v>
      </c>
      <c r="C58" s="2"/>
      <c r="D58" s="2"/>
      <c r="E58" s="2"/>
      <c r="F58" s="2"/>
      <c r="G58" s="2"/>
      <c r="H58" s="2"/>
      <c r="I58" s="2"/>
      <c r="J58" s="12">
        <f>+J53-11341622</f>
        <v>393924.6526697073</v>
      </c>
      <c r="K58" s="12">
        <f>+K53-J58</f>
        <v>-1.862645149230957E-09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5">
      <c r="A59" s="2" t="s">
        <v>45</v>
      </c>
      <c r="B59" s="11">
        <v>7250200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5">
      <c r="A60" s="2" t="s">
        <v>46</v>
      </c>
      <c r="B60" s="11">
        <v>30113969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5">
      <c r="A61" s="2" t="s">
        <v>47</v>
      </c>
      <c r="B61" s="11">
        <v>2518147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5">
      <c r="A62" s="2" t="s">
        <v>48</v>
      </c>
      <c r="B62" s="11">
        <v>-2919000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5">
      <c r="A63" s="2" t="s">
        <v>49</v>
      </c>
      <c r="B63" s="11">
        <v>-2400500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5">
      <c r="A64" s="2" t="s">
        <v>50</v>
      </c>
      <c r="B64" s="11">
        <f>SUM(B59:B63)</f>
        <v>34562816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</sheetData>
  <hyperlinks>
    <hyperlink ref="J19" r:id="rId1" display="+b7+@sum(j9..j12)"/>
    <hyperlink ref="C13" r:id="rId2" display="+c7-@sum(c51/2)*.03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Rapid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Schmidt</dc:creator>
  <cp:keywords/>
  <dc:description/>
  <cp:lastModifiedBy>Dan</cp:lastModifiedBy>
  <cp:lastPrinted>2006-07-05T14:22:10Z</cp:lastPrinted>
  <dcterms:created xsi:type="dcterms:W3CDTF">2000-08-22T21:50:26Z</dcterms:created>
  <dcterms:modified xsi:type="dcterms:W3CDTF">2006-07-05T14:22:29Z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-1569907069</vt:i4>
  </property>
  <property fmtid="{D5CDD505-2E9C-101B-9397-08002B2CF9AE}" pid="3" name="_EmailSubject">
    <vt:lpwstr>20122006amend.xls</vt:lpwstr>
  </property>
  <property fmtid="{D5CDD505-2E9C-101B-9397-08002B2CF9AE}" pid="4" name="_AuthorEmail">
    <vt:lpwstr>Coleen.Schmidt@rcgov.org</vt:lpwstr>
  </property>
  <property fmtid="{D5CDD505-2E9C-101B-9397-08002B2CF9AE}" pid="5" name="_AuthorEmailDisplayName">
    <vt:lpwstr>Schmidt Coleen</vt:lpwstr>
  </property>
  <property fmtid="{D5CDD505-2E9C-101B-9397-08002B2CF9AE}" pid="6" name="_PreviousAdHocReviewCycleID">
    <vt:i4>-1731653449</vt:i4>
  </property>
  <property fmtid="{D5CDD505-2E9C-101B-9397-08002B2CF9AE}" pid="7" name="_ReviewingToolsShownOnce">
    <vt:lpwstr/>
  </property>
</Properties>
</file>